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061bc3f335368777/REDE - SMART PLANILHAS/Planilhas Grátis/Clube das Planilhas/"/>
    </mc:Choice>
  </mc:AlternateContent>
  <xr:revisionPtr revIDLastSave="1" documentId="11_EC3342B3009692001FF4BC0A45FC49E93AA10A80" xr6:coauthVersionLast="47" xr6:coauthVersionMax="47" xr10:uidLastSave="{D608DC08-69D2-4F7F-B925-46E21221AC1D}"/>
  <bookViews>
    <workbookView xWindow="-120" yWindow="-120" windowWidth="20640" windowHeight="11160" xr2:uid="{00000000-000D-0000-FFFF-FFFF00000000}"/>
  </bookViews>
  <sheets>
    <sheet name="Métodos de Aproximação" sheetId="1" r:id="rId1"/>
    <sheet name="Ancorage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14" i="1"/>
  <c r="A61" i="1"/>
  <c r="B115" i="1"/>
  <c r="B110" i="1"/>
  <c r="B95" i="1"/>
  <c r="B97" i="1"/>
  <c r="B96" i="1"/>
  <c r="B98" i="1" s="1"/>
  <c r="B94" i="1"/>
  <c r="B78" i="1"/>
  <c r="B79" i="1"/>
  <c r="B80" i="1"/>
  <c r="B81" i="1" s="1"/>
  <c r="B74" i="1"/>
  <c r="B83" i="1"/>
  <c r="B65" i="1"/>
  <c r="A59" i="1"/>
  <c r="B16" i="1"/>
  <c r="A17" i="1"/>
  <c r="B27" i="1"/>
  <c r="B13" i="1"/>
  <c r="B18" i="1" s="1"/>
  <c r="A15" i="1"/>
  <c r="A45" i="1"/>
  <c r="B12" i="1"/>
  <c r="B11" i="1"/>
  <c r="B19" i="1" s="1"/>
  <c r="B49" i="1"/>
  <c r="B22" i="1" l="1"/>
  <c r="A20" i="1"/>
  <c r="B21" i="1"/>
  <c r="B82" i="1"/>
  <c r="A84" i="1"/>
  <c r="B52" i="1"/>
  <c r="A53" i="1" s="1"/>
  <c r="B70" i="1"/>
  <c r="B54" i="1"/>
  <c r="A55" i="1" s="1"/>
  <c r="B72" i="1"/>
  <c r="B66" i="1"/>
  <c r="B24" i="1" l="1"/>
  <c r="B23" i="1"/>
  <c r="B87" i="1"/>
  <c r="B88" i="1" s="1"/>
  <c r="B89" i="1" s="1"/>
  <c r="B116" i="1" s="1"/>
  <c r="B114" i="1"/>
  <c r="A75" i="1"/>
  <c r="B101" i="1"/>
  <c r="B104" i="1" s="1"/>
  <c r="B42" i="1" l="1"/>
  <c r="B43" i="1" s="1"/>
  <c r="B47" i="1" s="1"/>
  <c r="B28" i="1"/>
  <c r="B32" i="1"/>
  <c r="B35" i="1" l="1"/>
  <c r="B36" i="1" s="1"/>
  <c r="B109" i="1"/>
  <c r="A29" i="1"/>
  <c r="A67" i="1"/>
  <c r="B37" i="1" l="1"/>
  <c r="B38" i="1"/>
  <c r="A39" i="1" l="1"/>
  <c r="B111" i="1"/>
</calcChain>
</file>

<file path=xl/sharedStrings.xml><?xml version="1.0" encoding="utf-8"?>
<sst xmlns="http://schemas.openxmlformats.org/spreadsheetml/2006/main" count="153" uniqueCount="76">
  <si>
    <t>fck (Mpa)</t>
  </si>
  <si>
    <t>KN</t>
  </si>
  <si>
    <t>KNm</t>
  </si>
  <si>
    <t>cm</t>
  </si>
  <si>
    <t>cm²</t>
  </si>
  <si>
    <t>mm</t>
  </si>
  <si>
    <t>Ib (boa aderância)</t>
  </si>
  <si>
    <t>Ib (má aderância)</t>
  </si>
  <si>
    <t>Vá à próxima aba e escolha o valor</t>
  </si>
  <si>
    <t>MPa</t>
  </si>
  <si>
    <t>fck =</t>
  </si>
  <si>
    <t>Classe de agressividade =</t>
  </si>
  <si>
    <t>bw =</t>
  </si>
  <si>
    <t>h =</t>
  </si>
  <si>
    <t>Td =</t>
  </si>
  <si>
    <t>A =</t>
  </si>
  <si>
    <t>μ =</t>
  </si>
  <si>
    <t>ϕ1 =</t>
  </si>
  <si>
    <t>ϕt =</t>
  </si>
  <si>
    <t>c1 =</t>
  </si>
  <si>
    <t>cobrimento =</t>
  </si>
  <si>
    <t>he =</t>
  </si>
  <si>
    <t>bs =</t>
  </si>
  <si>
    <t>hs =</t>
  </si>
  <si>
    <t>Ae =</t>
  </si>
  <si>
    <t>u =</t>
  </si>
  <si>
    <t>b. Verificação do concreto</t>
  </si>
  <si>
    <t>a. Seção ideal equivalente</t>
  </si>
  <si>
    <t>αv =</t>
  </si>
  <si>
    <t>TRd2 =</t>
  </si>
  <si>
    <t>c. Dimensionamento dos estribos</t>
  </si>
  <si>
    <t>As, 90 / As =</t>
  </si>
  <si>
    <t>cm²/m</t>
  </si>
  <si>
    <t>Aϕ =</t>
  </si>
  <si>
    <t>mm²</t>
  </si>
  <si>
    <t>n =</t>
  </si>
  <si>
    <t xml:space="preserve"> </t>
  </si>
  <si>
    <t>n adotado =</t>
  </si>
  <si>
    <t>espaçamento =</t>
  </si>
  <si>
    <t>d. Dimensionamento da armadura longitudinal</t>
  </si>
  <si>
    <t>Asl / u =</t>
  </si>
  <si>
    <t>Asl =</t>
  </si>
  <si>
    <t>cm²/cm</t>
  </si>
  <si>
    <t>As efetiva =</t>
  </si>
  <si>
    <t>e. Disposições Construtivas</t>
  </si>
  <si>
    <r>
      <rPr>
        <sz val="12"/>
        <color indexed="8"/>
        <rFont val="Times New Roman"/>
        <family val="1"/>
      </rPr>
      <t xml:space="preserve">→ </t>
    </r>
    <r>
      <rPr>
        <i/>
        <sz val="12"/>
        <color indexed="8"/>
        <rFont val="Times New Roman"/>
        <family val="1"/>
      </rPr>
      <t>Armadura de pele</t>
    </r>
  </si>
  <si>
    <t>As, face =</t>
  </si>
  <si>
    <t>nx =</t>
  </si>
  <si>
    <t>ny =</t>
  </si>
  <si>
    <t>espaçamento em x =</t>
  </si>
  <si>
    <t>espaçamento em y =</t>
  </si>
  <si>
    <t>Vd =</t>
  </si>
  <si>
    <t>Md =</t>
  </si>
  <si>
    <t>1. Torção</t>
  </si>
  <si>
    <t>1. Flexão</t>
  </si>
  <si>
    <t>a. Verificação do concreto</t>
  </si>
  <si>
    <t>VRd2</t>
  </si>
  <si>
    <t>b. Dimensionamento da armadura de flexão</t>
  </si>
  <si>
    <t>Kc =</t>
  </si>
  <si>
    <t>Ks =</t>
  </si>
  <si>
    <t>As =</t>
  </si>
  <si>
    <t>ρ mín =</t>
  </si>
  <si>
    <t>%</t>
  </si>
  <si>
    <t>As, mín =</t>
  </si>
  <si>
    <t>fctm =</t>
  </si>
  <si>
    <t>fctk, inf =</t>
  </si>
  <si>
    <t>fctd =</t>
  </si>
  <si>
    <t>Vc =</t>
  </si>
  <si>
    <t>Asw / s =</t>
  </si>
  <si>
    <t>Asw, mín / s =</t>
  </si>
  <si>
    <t>3. Armaduras finais</t>
  </si>
  <si>
    <t>a. Armaduras longitudinais finais</t>
  </si>
  <si>
    <r>
      <rPr>
        <sz val="12"/>
        <color indexed="8"/>
        <rFont val="Times New Roman"/>
        <family val="1"/>
      </rPr>
      <t xml:space="preserve">→ </t>
    </r>
    <r>
      <rPr>
        <i/>
        <sz val="12"/>
        <color indexed="8"/>
        <rFont val="Times New Roman"/>
        <family val="1"/>
      </rPr>
      <t>Torção</t>
    </r>
  </si>
  <si>
    <r>
      <rPr>
        <sz val="12"/>
        <color indexed="8"/>
        <rFont val="Times New Roman"/>
        <family val="1"/>
      </rPr>
      <t xml:space="preserve">→ </t>
    </r>
    <r>
      <rPr>
        <i/>
        <sz val="12"/>
        <color indexed="8"/>
        <rFont val="Times New Roman"/>
        <family val="1"/>
      </rPr>
      <t>Flexão</t>
    </r>
  </si>
  <si>
    <t>n</t>
  </si>
  <si>
    <t>a. Armaduras transversais finais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</si>
</sst>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2"/>
      <color indexed="10"/>
      <name val="Times New Roman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C116"/>
  <sheetViews>
    <sheetView showGridLines="0" tabSelected="1" zoomScaleNormal="100" workbookViewId="0">
      <selection activeCell="I8" sqref="I8"/>
    </sheetView>
  </sheetViews>
  <sheetFormatPr defaultRowHeight="15.75" x14ac:dyDescent="0.25"/>
  <cols>
    <col min="1" max="1" width="30.85546875" style="1" bestFit="1" customWidth="1"/>
    <col min="2" max="2" width="15.28515625" style="1" bestFit="1" customWidth="1"/>
    <col min="3" max="3" width="10.7109375" style="1" bestFit="1" customWidth="1"/>
    <col min="4" max="16384" width="9.140625" style="1"/>
  </cols>
  <sheetData>
    <row r="1" spans="1:3" x14ac:dyDescent="0.25">
      <c r="A1" s="1" t="s">
        <v>11</v>
      </c>
      <c r="B1" s="5">
        <v>1</v>
      </c>
    </row>
    <row r="2" spans="1:3" x14ac:dyDescent="0.25">
      <c r="A2" s="1" t="s">
        <v>12</v>
      </c>
      <c r="B2" s="6">
        <v>76</v>
      </c>
      <c r="C2" s="1" t="s">
        <v>3</v>
      </c>
    </row>
    <row r="3" spans="1:3" x14ac:dyDescent="0.25">
      <c r="A3" s="1" t="s">
        <v>13</v>
      </c>
      <c r="B3" s="6">
        <v>97.5</v>
      </c>
      <c r="C3" s="1" t="s">
        <v>3</v>
      </c>
    </row>
    <row r="4" spans="1:3" x14ac:dyDescent="0.25">
      <c r="A4" s="1" t="s">
        <v>10</v>
      </c>
      <c r="B4" s="5">
        <v>25</v>
      </c>
      <c r="C4" s="1" t="s">
        <v>9</v>
      </c>
    </row>
    <row r="5" spans="1:3" x14ac:dyDescent="0.25">
      <c r="A5" s="1" t="s">
        <v>14</v>
      </c>
      <c r="B5" s="13">
        <v>160</v>
      </c>
      <c r="C5" s="1" t="s">
        <v>2</v>
      </c>
    </row>
    <row r="6" spans="1:3" x14ac:dyDescent="0.25">
      <c r="A6" s="1" t="s">
        <v>51</v>
      </c>
      <c r="B6" s="5">
        <v>494</v>
      </c>
      <c r="C6" s="1" t="s">
        <v>1</v>
      </c>
    </row>
    <row r="7" spans="1:3" x14ac:dyDescent="0.25">
      <c r="A7" s="1" t="s">
        <v>52</v>
      </c>
      <c r="B7" s="5">
        <v>697</v>
      </c>
      <c r="C7" s="1" t="s">
        <v>2</v>
      </c>
    </row>
    <row r="9" spans="1:3" x14ac:dyDescent="0.25">
      <c r="A9" s="16" t="s">
        <v>53</v>
      </c>
      <c r="B9" s="16"/>
      <c r="C9" s="16"/>
    </row>
    <row r="10" spans="1:3" x14ac:dyDescent="0.25">
      <c r="A10" s="14" t="s">
        <v>27</v>
      </c>
      <c r="B10" s="14"/>
      <c r="C10" s="14"/>
    </row>
    <row r="11" spans="1:3" x14ac:dyDescent="0.25">
      <c r="A11" s="1" t="s">
        <v>15</v>
      </c>
      <c r="B11" s="3">
        <f>B2*B3</f>
        <v>7410</v>
      </c>
      <c r="C11" s="1" t="s">
        <v>4</v>
      </c>
    </row>
    <row r="12" spans="1:3" x14ac:dyDescent="0.25">
      <c r="A12" s="1" t="s">
        <v>16</v>
      </c>
      <c r="B12" s="3">
        <f>2*(B2+B3)</f>
        <v>347</v>
      </c>
      <c r="C12" s="1" t="s">
        <v>3</v>
      </c>
    </row>
    <row r="13" spans="1:3" x14ac:dyDescent="0.25">
      <c r="A13" s="1" t="s">
        <v>20</v>
      </c>
      <c r="B13" s="3">
        <f>IF(B1=1,2.5,IF(B1=2,3,IF(B1=3,4,5)))</f>
        <v>2.5</v>
      </c>
      <c r="C13" s="1" t="s">
        <v>3</v>
      </c>
    </row>
    <row r="14" spans="1:3" x14ac:dyDescent="0.25">
      <c r="A14" s="1" t="s">
        <v>17</v>
      </c>
      <c r="B14" s="3">
        <f>B44</f>
        <v>10</v>
      </c>
      <c r="C14" s="1" t="s">
        <v>5</v>
      </c>
    </row>
    <row r="15" spans="1:3" x14ac:dyDescent="0.25">
      <c r="A15" s="15" t="str">
        <f>IF(B14&gt;=B16,"Conferido","Rever")</f>
        <v>Conferido</v>
      </c>
      <c r="B15" s="15"/>
      <c r="C15" s="15"/>
    </row>
    <row r="16" spans="1:3" x14ac:dyDescent="0.25">
      <c r="A16" s="1" t="s">
        <v>18</v>
      </c>
      <c r="B16" s="3">
        <f>B33</f>
        <v>8</v>
      </c>
      <c r="C16" s="1" t="s">
        <v>5</v>
      </c>
    </row>
    <row r="17" spans="1:3" x14ac:dyDescent="0.25">
      <c r="A17" s="15" t="str">
        <f>IF(AND(B16&lt;=B3/10,B16&gt;=5),"Conferido","Rever")</f>
        <v>Conferido</v>
      </c>
      <c r="B17" s="15"/>
      <c r="C17" s="15"/>
    </row>
    <row r="18" spans="1:3" x14ac:dyDescent="0.25">
      <c r="A18" s="1" t="s">
        <v>19</v>
      </c>
      <c r="B18" s="3">
        <f>B13+(B14/2+B16)/10</f>
        <v>3.8</v>
      </c>
      <c r="C18" s="1" t="s">
        <v>3</v>
      </c>
    </row>
    <row r="19" spans="1:3" x14ac:dyDescent="0.25">
      <c r="A19" s="1" t="s">
        <v>21</v>
      </c>
      <c r="B19" s="3">
        <f>B11/B12</f>
        <v>21.354466858789625</v>
      </c>
      <c r="C19" s="1" t="s">
        <v>3</v>
      </c>
    </row>
    <row r="20" spans="1:3" x14ac:dyDescent="0.25">
      <c r="A20" s="15" t="str">
        <f>IF(B19&gt;=(2*B18),"Conferido","Rever")</f>
        <v>Conferido</v>
      </c>
      <c r="B20" s="15"/>
      <c r="C20" s="15"/>
    </row>
    <row r="21" spans="1:3" x14ac:dyDescent="0.25">
      <c r="A21" s="1" t="s">
        <v>22</v>
      </c>
      <c r="B21" s="3">
        <f>B2-B19</f>
        <v>54.645533141210379</v>
      </c>
      <c r="C21" s="1" t="s">
        <v>3</v>
      </c>
    </row>
    <row r="22" spans="1:3" x14ac:dyDescent="0.25">
      <c r="A22" s="1" t="s">
        <v>23</v>
      </c>
      <c r="B22" s="3">
        <f>B3-B19</f>
        <v>76.145533141210379</v>
      </c>
      <c r="C22" s="1" t="s">
        <v>3</v>
      </c>
    </row>
    <row r="23" spans="1:3" x14ac:dyDescent="0.25">
      <c r="A23" s="1" t="s">
        <v>24</v>
      </c>
      <c r="B23" s="3">
        <f>B21*B22</f>
        <v>4161.013254823145</v>
      </c>
      <c r="C23" s="1" t="s">
        <v>4</v>
      </c>
    </row>
    <row r="24" spans="1:3" x14ac:dyDescent="0.25">
      <c r="A24" s="1" t="s">
        <v>25</v>
      </c>
      <c r="B24" s="3">
        <f>2*(B21+B22)</f>
        <v>261.58213256484152</v>
      </c>
      <c r="C24" s="1" t="s">
        <v>3</v>
      </c>
    </row>
    <row r="26" spans="1:3" x14ac:dyDescent="0.25">
      <c r="A26" s="14" t="s">
        <v>26</v>
      </c>
      <c r="B26" s="14"/>
      <c r="C26" s="14"/>
    </row>
    <row r="27" spans="1:3" x14ac:dyDescent="0.25">
      <c r="A27" s="1" t="s">
        <v>28</v>
      </c>
      <c r="B27" s="3">
        <f>1-B4/250</f>
        <v>0.9</v>
      </c>
      <c r="C27" s="4"/>
    </row>
    <row r="28" spans="1:3" x14ac:dyDescent="0.25">
      <c r="A28" s="1" t="s">
        <v>29</v>
      </c>
      <c r="B28" s="2">
        <f>0.5*B27*(B4/14)*B23*B19/100</f>
        <v>714.02319360888112</v>
      </c>
      <c r="C28" s="1" t="s">
        <v>2</v>
      </c>
    </row>
    <row r="29" spans="1:3" x14ac:dyDescent="0.25">
      <c r="A29" s="15" t="str">
        <f>IF(B28&gt;=B5,"Conferido","Rever")</f>
        <v>Conferido</v>
      </c>
      <c r="B29" s="15"/>
      <c r="C29" s="15"/>
    </row>
    <row r="31" spans="1:3" x14ac:dyDescent="0.25">
      <c r="A31" s="14" t="s">
        <v>30</v>
      </c>
      <c r="B31" s="14"/>
      <c r="C31" s="14"/>
    </row>
    <row r="32" spans="1:3" x14ac:dyDescent="0.25">
      <c r="A32" s="1" t="s">
        <v>31</v>
      </c>
      <c r="B32" s="3">
        <f>B5*10000/(2*B23*(50/1.15))</f>
        <v>4.4219998527214619</v>
      </c>
      <c r="C32" s="2" t="s">
        <v>32</v>
      </c>
    </row>
    <row r="33" spans="1:3" x14ac:dyDescent="0.25">
      <c r="A33" s="1" t="s">
        <v>18</v>
      </c>
      <c r="B33" s="7">
        <v>8</v>
      </c>
      <c r="C33" s="3" t="s">
        <v>5</v>
      </c>
    </row>
    <row r="34" spans="1:3" x14ac:dyDescent="0.25">
      <c r="A34" s="1" t="s">
        <v>33</v>
      </c>
      <c r="B34" s="9">
        <v>0.503</v>
      </c>
      <c r="C34" s="2" t="s">
        <v>34</v>
      </c>
    </row>
    <row r="35" spans="1:3" x14ac:dyDescent="0.25">
      <c r="A35" s="1" t="s">
        <v>35</v>
      </c>
      <c r="B35" s="3">
        <f>B32/B34</f>
        <v>8.7912521922891891</v>
      </c>
      <c r="C35" s="3"/>
    </row>
    <row r="36" spans="1:3" x14ac:dyDescent="0.25">
      <c r="A36" s="1" t="s">
        <v>37</v>
      </c>
      <c r="B36" s="3">
        <f>ROUNDUP(B35,0)</f>
        <v>9</v>
      </c>
      <c r="C36" s="3"/>
    </row>
    <row r="37" spans="1:3" x14ac:dyDescent="0.25">
      <c r="A37" s="1" t="s">
        <v>43</v>
      </c>
      <c r="B37" s="3">
        <f>B36*B34</f>
        <v>4.5270000000000001</v>
      </c>
      <c r="C37" s="3" t="s">
        <v>4</v>
      </c>
    </row>
    <row r="38" spans="1:3" x14ac:dyDescent="0.25">
      <c r="A38" s="1" t="s">
        <v>38</v>
      </c>
      <c r="B38" s="3">
        <f>100/(B36-1)</f>
        <v>12.5</v>
      </c>
      <c r="C38" s="3" t="s">
        <v>3</v>
      </c>
    </row>
    <row r="39" spans="1:3" x14ac:dyDescent="0.25">
      <c r="A39" s="15" t="str">
        <f>IF(B38&lt;=20,"Conferido","Rever")</f>
        <v>Conferido</v>
      </c>
      <c r="B39" s="15"/>
      <c r="C39" s="15"/>
    </row>
    <row r="40" spans="1:3" x14ac:dyDescent="0.25">
      <c r="A40" s="1" t="s">
        <v>36</v>
      </c>
    </row>
    <row r="41" spans="1:3" x14ac:dyDescent="0.25">
      <c r="A41" s="14" t="s">
        <v>39</v>
      </c>
      <c r="B41" s="14"/>
      <c r="C41" s="14"/>
    </row>
    <row r="42" spans="1:3" x14ac:dyDescent="0.25">
      <c r="A42" s="1" t="s">
        <v>40</v>
      </c>
      <c r="B42" s="8">
        <f>B5*100/(2*B23*(50/1.15))</f>
        <v>4.4219998527214623E-2</v>
      </c>
      <c r="C42" s="2" t="s">
        <v>42</v>
      </c>
    </row>
    <row r="43" spans="1:3" x14ac:dyDescent="0.25">
      <c r="A43" s="1" t="s">
        <v>41</v>
      </c>
      <c r="B43" s="3">
        <f>B42*B24</f>
        <v>11.567161516762951</v>
      </c>
      <c r="C43" s="2" t="s">
        <v>4</v>
      </c>
    </row>
    <row r="44" spans="1:3" x14ac:dyDescent="0.25">
      <c r="A44" s="1" t="s">
        <v>17</v>
      </c>
      <c r="B44" s="7">
        <v>10</v>
      </c>
      <c r="C44" s="3" t="s">
        <v>5</v>
      </c>
    </row>
    <row r="45" spans="1:3" x14ac:dyDescent="0.25">
      <c r="A45" s="15" t="str">
        <f>IF(B44&gt;=B16,"Conferido","Rever")</f>
        <v>Conferido</v>
      </c>
      <c r="B45" s="15"/>
      <c r="C45" s="15"/>
    </row>
    <row r="46" spans="1:3" x14ac:dyDescent="0.25">
      <c r="A46" s="1" t="s">
        <v>33</v>
      </c>
      <c r="B46" s="9">
        <v>0.78500000000000003</v>
      </c>
      <c r="C46" s="2" t="s">
        <v>34</v>
      </c>
    </row>
    <row r="47" spans="1:3" x14ac:dyDescent="0.25">
      <c r="A47" s="1" t="s">
        <v>35</v>
      </c>
      <c r="B47" s="3">
        <f>B43/B46</f>
        <v>14.735237600971912</v>
      </c>
      <c r="C47" s="3"/>
    </row>
    <row r="48" spans="1:3" x14ac:dyDescent="0.25">
      <c r="A48" s="1" t="s">
        <v>37</v>
      </c>
      <c r="B48" s="5">
        <v>15</v>
      </c>
      <c r="C48" s="10"/>
    </row>
    <row r="49" spans="1:3" x14ac:dyDescent="0.25">
      <c r="A49" s="1" t="s">
        <v>43</v>
      </c>
      <c r="B49" s="3">
        <f>B48*B46</f>
        <v>11.775</v>
      </c>
      <c r="C49" s="3" t="s">
        <v>4</v>
      </c>
    </row>
    <row r="50" spans="1:3" x14ac:dyDescent="0.25">
      <c r="A50" s="1" t="s">
        <v>47</v>
      </c>
      <c r="B50" s="6">
        <v>5</v>
      </c>
      <c r="C50" s="3"/>
    </row>
    <row r="51" spans="1:3" x14ac:dyDescent="0.25">
      <c r="A51" s="1" t="s">
        <v>48</v>
      </c>
      <c r="B51" s="6">
        <v>9</v>
      </c>
      <c r="C51" s="3"/>
    </row>
    <row r="52" spans="1:3" x14ac:dyDescent="0.25">
      <c r="A52" s="1" t="s">
        <v>49</v>
      </c>
      <c r="B52" s="3">
        <f>(B2-2*B18)/(B50-1)</f>
        <v>17.100000000000001</v>
      </c>
      <c r="C52" s="3" t="s">
        <v>3</v>
      </c>
    </row>
    <row r="53" spans="1:3" x14ac:dyDescent="0.25">
      <c r="A53" s="15" t="str">
        <f>IF(B52&lt;=20,"Conferido","Rever")</f>
        <v>Conferido</v>
      </c>
      <c r="B53" s="15"/>
      <c r="C53" s="15"/>
    </row>
    <row r="54" spans="1:3" x14ac:dyDescent="0.25">
      <c r="A54" s="1" t="s">
        <v>50</v>
      </c>
      <c r="B54" s="3">
        <f>(B3-2*B18)/(B51-1)</f>
        <v>11.237500000000001</v>
      </c>
      <c r="C54" s="3" t="s">
        <v>3</v>
      </c>
    </row>
    <row r="55" spans="1:3" x14ac:dyDescent="0.25">
      <c r="A55" s="15" t="str">
        <f>IF(B54&lt;=20,"Conferido","Rever")</f>
        <v>Conferido</v>
      </c>
      <c r="B55" s="15"/>
      <c r="C55" s="15"/>
    </row>
    <row r="57" spans="1:3" x14ac:dyDescent="0.25">
      <c r="A57" s="14" t="s">
        <v>44</v>
      </c>
      <c r="B57" s="14"/>
      <c r="C57" s="14"/>
    </row>
    <row r="58" spans="1:3" x14ac:dyDescent="0.25">
      <c r="A58" s="14" t="s">
        <v>45</v>
      </c>
      <c r="B58" s="14"/>
      <c r="C58" s="14"/>
    </row>
    <row r="59" spans="1:3" x14ac:dyDescent="0.25">
      <c r="A59" s="15" t="str">
        <f>IF(B2&lt;=60,"Armadura de pele OPCIONAL","Armadura de pele OBRIGATÓRIA")</f>
        <v>Armadura de pele OBRIGATÓRIA</v>
      </c>
      <c r="B59" s="15"/>
      <c r="C59" s="15"/>
    </row>
    <row r="60" spans="1:3" x14ac:dyDescent="0.25">
      <c r="A60" s="1" t="s">
        <v>46</v>
      </c>
      <c r="B60" s="3">
        <f>(0.1/100)*B2*B3</f>
        <v>7.41</v>
      </c>
      <c r="C60" s="1" t="s">
        <v>4</v>
      </c>
    </row>
    <row r="61" spans="1:3" x14ac:dyDescent="0.25">
      <c r="A61" s="15" t="str">
        <f>IF(B60&lt;=B51*B46,"Armadura de pele já satisfeita","Acrescer armadura de pele")</f>
        <v>Acrescer armadura de pele</v>
      </c>
      <c r="B61" s="15"/>
      <c r="C61" s="15"/>
    </row>
    <row r="63" spans="1:3" x14ac:dyDescent="0.25">
      <c r="A63" s="16" t="s">
        <v>54</v>
      </c>
      <c r="B63" s="16"/>
      <c r="C63" s="16"/>
    </row>
    <row r="64" spans="1:3" x14ac:dyDescent="0.25">
      <c r="A64" s="14" t="s">
        <v>55</v>
      </c>
      <c r="B64" s="14"/>
      <c r="C64" s="14"/>
    </row>
    <row r="65" spans="1:3" x14ac:dyDescent="0.25">
      <c r="A65" s="1" t="s">
        <v>28</v>
      </c>
      <c r="B65" s="3">
        <f>1-B4/250</f>
        <v>0.9</v>
      </c>
    </row>
    <row r="66" spans="1:3" x14ac:dyDescent="0.25">
      <c r="A66" s="1" t="s">
        <v>56</v>
      </c>
      <c r="B66" s="11">
        <f>0.27*B65*(B4/14)*B2*(B3-B18)</f>
        <v>3090.0921428571437</v>
      </c>
      <c r="C66" s="1" t="s">
        <v>1</v>
      </c>
    </row>
    <row r="67" spans="1:3" x14ac:dyDescent="0.25">
      <c r="A67" s="15" t="str">
        <f>IF((B6/B66+B5/B28)&lt;=1,"Conferido","Rever")</f>
        <v>Conferido</v>
      </c>
      <c r="B67" s="15"/>
      <c r="C67" s="15"/>
    </row>
    <row r="69" spans="1:3" x14ac:dyDescent="0.25">
      <c r="A69" s="14" t="s">
        <v>57</v>
      </c>
      <c r="B69" s="14"/>
      <c r="C69" s="14"/>
    </row>
    <row r="70" spans="1:3" x14ac:dyDescent="0.25">
      <c r="A70" s="1" t="s">
        <v>58</v>
      </c>
      <c r="B70" s="3">
        <f>(B2*(B3-B18)^2)/(B7*100)</f>
        <v>9.573263127690101</v>
      </c>
      <c r="C70" s="4"/>
    </row>
    <row r="71" spans="1:3" x14ac:dyDescent="0.25">
      <c r="A71" s="1" t="s">
        <v>59</v>
      </c>
      <c r="B71" s="9">
        <v>2.5000000000000001E-2</v>
      </c>
    </row>
    <row r="72" spans="1:3" x14ac:dyDescent="0.25">
      <c r="A72" s="1" t="s">
        <v>60</v>
      </c>
      <c r="B72" s="2">
        <f>B71*B7*100/(B3-B18)</f>
        <v>18.596584845250799</v>
      </c>
      <c r="C72" s="1" t="s">
        <v>4</v>
      </c>
    </row>
    <row r="73" spans="1:3" x14ac:dyDescent="0.25">
      <c r="A73" s="1" t="s">
        <v>61</v>
      </c>
      <c r="B73" s="7">
        <v>0.15</v>
      </c>
      <c r="C73" s="1" t="s">
        <v>62</v>
      </c>
    </row>
    <row r="74" spans="1:3" x14ac:dyDescent="0.25">
      <c r="A74" s="1" t="s">
        <v>63</v>
      </c>
      <c r="B74" s="2">
        <f>(B73/100)*B2*B3</f>
        <v>11.115</v>
      </c>
      <c r="C74" s="1" t="s">
        <v>4</v>
      </c>
    </row>
    <row r="75" spans="1:3" x14ac:dyDescent="0.25">
      <c r="A75" s="15" t="str">
        <f>IF(B72&gt;=B74,"Conferido","Rever")</f>
        <v>Conferido</v>
      </c>
      <c r="B75" s="15"/>
      <c r="C75" s="15"/>
    </row>
    <row r="77" spans="1:3" x14ac:dyDescent="0.25">
      <c r="A77" s="14" t="s">
        <v>30</v>
      </c>
      <c r="B77" s="14"/>
      <c r="C77" s="14"/>
    </row>
    <row r="78" spans="1:3" x14ac:dyDescent="0.25">
      <c r="A78" s="1" t="s">
        <v>64</v>
      </c>
      <c r="B78" s="3">
        <f>0.3*((B4^2)^(1/3))</f>
        <v>2.5649639200150443</v>
      </c>
      <c r="C78" s="2" t="s">
        <v>9</v>
      </c>
    </row>
    <row r="79" spans="1:3" x14ac:dyDescent="0.25">
      <c r="A79" s="1" t="s">
        <v>65</v>
      </c>
      <c r="B79" s="2">
        <f>0.7*(B78)</f>
        <v>1.7954747440105308</v>
      </c>
      <c r="C79" s="2" t="s">
        <v>9</v>
      </c>
    </row>
    <row r="80" spans="1:3" x14ac:dyDescent="0.25">
      <c r="A80" s="1" t="s">
        <v>66</v>
      </c>
      <c r="B80" s="2">
        <f>B79/1.4</f>
        <v>1.2824819600075221</v>
      </c>
      <c r="C80" s="2" t="s">
        <v>9</v>
      </c>
    </row>
    <row r="81" spans="1:3" x14ac:dyDescent="0.25">
      <c r="A81" s="1" t="s">
        <v>67</v>
      </c>
      <c r="B81" s="3">
        <f>0.6*(B80/10)*B2*(B3-B18)</f>
        <v>547.96863201633403</v>
      </c>
      <c r="C81" s="3" t="s">
        <v>1</v>
      </c>
    </row>
    <row r="82" spans="1:3" x14ac:dyDescent="0.25">
      <c r="A82" s="1" t="s">
        <v>68</v>
      </c>
      <c r="B82" s="3">
        <f>(B6-B81)/(0.9*(B3-B18)*(50/1.15))*100</f>
        <v>-1.4719299613135095</v>
      </c>
      <c r="C82" s="3" t="s">
        <v>32</v>
      </c>
    </row>
    <row r="83" spans="1:3" x14ac:dyDescent="0.25">
      <c r="A83" s="1" t="s">
        <v>69</v>
      </c>
      <c r="B83" s="3">
        <f>0.2*B78*B2*100/500</f>
        <v>7.7974903168457352</v>
      </c>
      <c r="C83" s="3" t="s">
        <v>32</v>
      </c>
    </row>
    <row r="84" spans="1:3" x14ac:dyDescent="0.25">
      <c r="A84" s="15" t="str">
        <f>IF(B81&gt;=B83,"Conferido","Rever")</f>
        <v>Conferido</v>
      </c>
      <c r="B84" s="15"/>
      <c r="C84" s="15"/>
    </row>
    <row r="85" spans="1:3" x14ac:dyDescent="0.25">
      <c r="A85" s="1" t="s">
        <v>18</v>
      </c>
      <c r="B85" s="7">
        <v>8</v>
      </c>
      <c r="C85" s="3" t="s">
        <v>5</v>
      </c>
    </row>
    <row r="86" spans="1:3" x14ac:dyDescent="0.25">
      <c r="A86" s="1" t="s">
        <v>33</v>
      </c>
      <c r="B86" s="9">
        <v>0.503</v>
      </c>
      <c r="C86" s="2" t="s">
        <v>4</v>
      </c>
    </row>
    <row r="87" spans="1:3" x14ac:dyDescent="0.25">
      <c r="A87" s="1" t="s">
        <v>35</v>
      </c>
      <c r="B87" s="3">
        <f>B82/B86</f>
        <v>-2.9263021099672155</v>
      </c>
    </row>
    <row r="88" spans="1:3" x14ac:dyDescent="0.25">
      <c r="A88" s="1" t="s">
        <v>37</v>
      </c>
      <c r="B88" s="3">
        <f>ROUNDUP(B87,0)</f>
        <v>-3</v>
      </c>
    </row>
    <row r="89" spans="1:3" x14ac:dyDescent="0.25">
      <c r="A89" s="1" t="s">
        <v>38</v>
      </c>
      <c r="B89" s="3">
        <f>100/(B88-1)</f>
        <v>-25</v>
      </c>
      <c r="C89" s="1" t="s">
        <v>3</v>
      </c>
    </row>
    <row r="90" spans="1:3" x14ac:dyDescent="0.25">
      <c r="A90" s="1" t="s">
        <v>36</v>
      </c>
    </row>
    <row r="91" spans="1:3" x14ac:dyDescent="0.25">
      <c r="A91" s="16" t="s">
        <v>70</v>
      </c>
      <c r="B91" s="16"/>
      <c r="C91" s="16"/>
    </row>
    <row r="92" spans="1:3" x14ac:dyDescent="0.25">
      <c r="A92" s="14" t="s">
        <v>71</v>
      </c>
      <c r="B92" s="14"/>
      <c r="C92" s="14"/>
    </row>
    <row r="93" spans="1:3" x14ac:dyDescent="0.25">
      <c r="A93" s="14" t="s">
        <v>72</v>
      </c>
      <c r="B93" s="14"/>
      <c r="C93" s="14"/>
    </row>
    <row r="94" spans="1:3" x14ac:dyDescent="0.25">
      <c r="A94" s="1" t="s">
        <v>17</v>
      </c>
      <c r="B94" s="2">
        <f>B44</f>
        <v>10</v>
      </c>
      <c r="C94" s="3" t="s">
        <v>5</v>
      </c>
    </row>
    <row r="95" spans="1:3" x14ac:dyDescent="0.25">
      <c r="A95" s="1" t="s">
        <v>33</v>
      </c>
      <c r="B95" s="12">
        <f>B46</f>
        <v>0.78500000000000003</v>
      </c>
      <c r="C95" s="2" t="s">
        <v>4</v>
      </c>
    </row>
    <row r="96" spans="1:3" x14ac:dyDescent="0.25">
      <c r="A96" s="1" t="s">
        <v>47</v>
      </c>
      <c r="B96" s="3">
        <f>B50</f>
        <v>5</v>
      </c>
      <c r="C96" s="3"/>
    </row>
    <row r="97" spans="1:3" x14ac:dyDescent="0.25">
      <c r="A97" s="1" t="s">
        <v>48</v>
      </c>
      <c r="B97" s="3">
        <f>B51-1</f>
        <v>8</v>
      </c>
      <c r="C97" s="3"/>
    </row>
    <row r="98" spans="1:3" x14ac:dyDescent="0.25">
      <c r="A98" s="1" t="s">
        <v>15</v>
      </c>
      <c r="B98" s="3">
        <f>(B96+(B97-1)*2)*B95</f>
        <v>14.915000000000001</v>
      </c>
      <c r="C98" s="2" t="s">
        <v>4</v>
      </c>
    </row>
    <row r="99" spans="1:3" x14ac:dyDescent="0.25">
      <c r="B99" s="3"/>
      <c r="C99" s="2"/>
    </row>
    <row r="100" spans="1:3" x14ac:dyDescent="0.25">
      <c r="A100" s="14" t="s">
        <v>73</v>
      </c>
      <c r="B100" s="14"/>
      <c r="C100" s="14"/>
    </row>
    <row r="101" spans="1:3" x14ac:dyDescent="0.25">
      <c r="A101" s="1" t="s">
        <v>15</v>
      </c>
      <c r="B101" s="2">
        <f>B72+B50*B46</f>
        <v>22.5215848452508</v>
      </c>
      <c r="C101" s="2" t="s">
        <v>4</v>
      </c>
    </row>
    <row r="102" spans="1:3" x14ac:dyDescent="0.25">
      <c r="A102" s="1" t="s">
        <v>17</v>
      </c>
      <c r="B102" s="2">
        <v>20</v>
      </c>
      <c r="C102" s="3" t="s">
        <v>5</v>
      </c>
    </row>
    <row r="103" spans="1:3" x14ac:dyDescent="0.25">
      <c r="A103" s="1" t="s">
        <v>33</v>
      </c>
      <c r="B103" s="2">
        <v>3.1419999999999999</v>
      </c>
      <c r="C103" s="2" t="s">
        <v>4</v>
      </c>
    </row>
    <row r="104" spans="1:3" x14ac:dyDescent="0.25">
      <c r="A104" s="1" t="s">
        <v>74</v>
      </c>
      <c r="B104" s="3">
        <f>B101/B103</f>
        <v>7.1679136999525142</v>
      </c>
      <c r="C104" s="3"/>
    </row>
    <row r="105" spans="1:3" x14ac:dyDescent="0.25">
      <c r="A105" s="1" t="s">
        <v>37</v>
      </c>
      <c r="B105" s="6">
        <v>9</v>
      </c>
      <c r="C105" s="3"/>
    </row>
    <row r="107" spans="1:3" x14ac:dyDescent="0.25">
      <c r="A107" s="14" t="s">
        <v>75</v>
      </c>
      <c r="B107" s="14"/>
      <c r="C107" s="14"/>
    </row>
    <row r="108" spans="1:3" x14ac:dyDescent="0.25">
      <c r="A108" s="14" t="s">
        <v>72</v>
      </c>
      <c r="B108" s="14"/>
      <c r="C108" s="14"/>
    </row>
    <row r="109" spans="1:3" x14ac:dyDescent="0.25">
      <c r="A109" s="1" t="s">
        <v>31</v>
      </c>
      <c r="B109" s="3">
        <f>B32</f>
        <v>4.4219998527214619</v>
      </c>
      <c r="C109" s="2" t="s">
        <v>32</v>
      </c>
    </row>
    <row r="110" spans="1:3" x14ac:dyDescent="0.25">
      <c r="A110" s="1" t="s">
        <v>18</v>
      </c>
      <c r="B110" s="3">
        <f>B33</f>
        <v>8</v>
      </c>
      <c r="C110" s="3" t="s">
        <v>5</v>
      </c>
    </row>
    <row r="111" spans="1:3" x14ac:dyDescent="0.25">
      <c r="A111" s="1" t="s">
        <v>38</v>
      </c>
      <c r="B111" s="3">
        <f>B38</f>
        <v>12.5</v>
      </c>
      <c r="C111" s="3" t="s">
        <v>3</v>
      </c>
    </row>
    <row r="113" spans="1:3" x14ac:dyDescent="0.25">
      <c r="A113" s="14" t="s">
        <v>73</v>
      </c>
      <c r="B113" s="14"/>
      <c r="C113" s="14"/>
    </row>
    <row r="114" spans="1:3" x14ac:dyDescent="0.25">
      <c r="A114" s="1" t="s">
        <v>68</v>
      </c>
      <c r="B114" s="3">
        <f>B82</f>
        <v>-1.4719299613135095</v>
      </c>
      <c r="C114" s="3" t="s">
        <v>32</v>
      </c>
    </row>
    <row r="115" spans="1:3" x14ac:dyDescent="0.25">
      <c r="A115" s="1" t="s">
        <v>18</v>
      </c>
      <c r="B115" s="3">
        <f>B85</f>
        <v>8</v>
      </c>
      <c r="C115" s="3" t="s">
        <v>5</v>
      </c>
    </row>
    <row r="116" spans="1:3" x14ac:dyDescent="0.25">
      <c r="A116" s="1" t="s">
        <v>38</v>
      </c>
      <c r="B116" s="2">
        <f>B89</f>
        <v>-25</v>
      </c>
      <c r="C116" s="2" t="s">
        <v>3</v>
      </c>
    </row>
  </sheetData>
  <mergeCells count="31">
    <mergeCell ref="A67:C67"/>
    <mergeCell ref="A69:C69"/>
    <mergeCell ref="A77:C77"/>
    <mergeCell ref="A91:C91"/>
    <mergeCell ref="A61:C61"/>
    <mergeCell ref="A63:C63"/>
    <mergeCell ref="A64:C64"/>
    <mergeCell ref="A59:C59"/>
    <mergeCell ref="A17:C17"/>
    <mergeCell ref="A39:C39"/>
    <mergeCell ref="A45:C45"/>
    <mergeCell ref="A55:C55"/>
    <mergeCell ref="A53:C53"/>
    <mergeCell ref="A9:C9"/>
    <mergeCell ref="A58:C58"/>
    <mergeCell ref="A26:C26"/>
    <mergeCell ref="A31:C31"/>
    <mergeCell ref="A41:C41"/>
    <mergeCell ref="A10:C10"/>
    <mergeCell ref="A57:C57"/>
    <mergeCell ref="A20:C20"/>
    <mergeCell ref="A29:C29"/>
    <mergeCell ref="A15:C15"/>
    <mergeCell ref="A113:C113"/>
    <mergeCell ref="A107:C107"/>
    <mergeCell ref="A75:C75"/>
    <mergeCell ref="A84:C84"/>
    <mergeCell ref="A92:C92"/>
    <mergeCell ref="A93:C93"/>
    <mergeCell ref="A108:C108"/>
    <mergeCell ref="A100:C100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I4"/>
  <sheetViews>
    <sheetView topLeftCell="A7" workbookViewId="0">
      <selection activeCell="A2" sqref="A2"/>
    </sheetView>
  </sheetViews>
  <sheetFormatPr defaultRowHeight="15.75" x14ac:dyDescent="0.25"/>
  <cols>
    <col min="1" max="1" width="17.28515625" style="1" bestFit="1" customWidth="1"/>
    <col min="2" max="16384" width="9.140625" style="1"/>
  </cols>
  <sheetData>
    <row r="1" spans="1:9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" t="s">
        <v>0</v>
      </c>
      <c r="B2" s="1">
        <v>15</v>
      </c>
      <c r="C2" s="1">
        <v>20</v>
      </c>
      <c r="D2" s="1">
        <v>25</v>
      </c>
      <c r="E2" s="1">
        <v>30</v>
      </c>
      <c r="F2" s="1">
        <v>35</v>
      </c>
      <c r="G2" s="1">
        <v>40</v>
      </c>
      <c r="H2" s="1">
        <v>45</v>
      </c>
      <c r="I2" s="1">
        <v>50</v>
      </c>
    </row>
    <row r="3" spans="1:9" x14ac:dyDescent="0.25">
      <c r="A3" s="1" t="s">
        <v>6</v>
      </c>
      <c r="B3" s="1">
        <v>53</v>
      </c>
      <c r="C3" s="1">
        <v>44</v>
      </c>
      <c r="D3" s="1">
        <v>38</v>
      </c>
      <c r="E3" s="1">
        <v>33</v>
      </c>
      <c r="F3" s="1">
        <v>30</v>
      </c>
      <c r="G3" s="1">
        <v>28</v>
      </c>
      <c r="H3" s="1">
        <v>25</v>
      </c>
      <c r="I3" s="1">
        <v>24</v>
      </c>
    </row>
    <row r="4" spans="1:9" x14ac:dyDescent="0.25">
      <c r="A4" s="1" t="s">
        <v>7</v>
      </c>
      <c r="B4" s="1">
        <v>76</v>
      </c>
      <c r="C4" s="1">
        <v>62</v>
      </c>
      <c r="D4" s="1">
        <v>54</v>
      </c>
      <c r="E4" s="1">
        <v>48</v>
      </c>
      <c r="F4" s="1">
        <v>43</v>
      </c>
      <c r="G4" s="1">
        <v>39</v>
      </c>
      <c r="H4" s="1">
        <v>36</v>
      </c>
      <c r="I4" s="1">
        <v>34</v>
      </c>
    </row>
  </sheetData>
  <mergeCells count="1">
    <mergeCell ref="A1:I1"/>
  </mergeCells>
  <phoneticPr fontId="5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Métodos de Aproximação</vt:lpstr>
      <vt:lpstr>Ancoragem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R Ferreira</dc:creator>
  <cp:lastModifiedBy>Atendimento Smart</cp:lastModifiedBy>
  <cp:lastPrinted>2014-10-15T23:51:42Z</cp:lastPrinted>
  <dcterms:created xsi:type="dcterms:W3CDTF">2014-10-14T16:30:45Z</dcterms:created>
  <dcterms:modified xsi:type="dcterms:W3CDTF">2025-02-20T13:59:46Z</dcterms:modified>
</cp:coreProperties>
</file>